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19\Digital\Oct-Dic\"/>
    </mc:Choice>
  </mc:AlternateContent>
  <bookViews>
    <workbookView xWindow="0" yWindow="0" windowWidth="28800" windowHeight="1248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D6" i="8" l="1"/>
  <c r="D8" i="8"/>
  <c r="D16" i="6"/>
  <c r="D22" i="6"/>
  <c r="C28" i="6"/>
  <c r="C16" i="6"/>
  <c r="H7" i="6" l="1"/>
  <c r="H8" i="6"/>
  <c r="H9" i="6"/>
  <c r="H10" i="6"/>
  <c r="H11" i="6"/>
  <c r="H12" i="6"/>
  <c r="H14" i="6"/>
  <c r="H15" i="6"/>
  <c r="H17" i="6"/>
  <c r="H18" i="6"/>
  <c r="H19" i="6"/>
  <c r="H20" i="6"/>
  <c r="H21" i="6"/>
  <c r="H24" i="6"/>
  <c r="H25" i="6"/>
  <c r="H26" i="6"/>
  <c r="H27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4" i="6"/>
  <c r="H46" i="6"/>
  <c r="H47" i="6"/>
  <c r="H48" i="6"/>
  <c r="H49" i="6"/>
  <c r="H50" i="6"/>
  <c r="H51" i="6"/>
  <c r="H52" i="6"/>
  <c r="H54" i="6"/>
  <c r="H56" i="6"/>
  <c r="H57" i="6"/>
  <c r="H58" i="6"/>
  <c r="H59" i="6"/>
  <c r="H60" i="6"/>
  <c r="H61" i="6"/>
  <c r="H8" i="4"/>
  <c r="G24" i="6"/>
  <c r="G32" i="6"/>
  <c r="G23" i="6" s="1"/>
  <c r="G9" i="6"/>
  <c r="G5" i="6" s="1"/>
  <c r="G69" i="6"/>
  <c r="G65" i="6"/>
  <c r="G57" i="6"/>
  <c r="G53" i="6"/>
  <c r="G49" i="6"/>
  <c r="G45" i="6"/>
  <c r="G43" i="6" s="1"/>
  <c r="G44" i="6"/>
  <c r="G33" i="6"/>
  <c r="G13" i="6"/>
  <c r="F45" i="6"/>
  <c r="F49" i="6"/>
  <c r="F44" i="6"/>
  <c r="C32" i="6"/>
  <c r="C27" i="6"/>
  <c r="C25" i="6"/>
  <c r="C30" i="6"/>
  <c r="C26" i="6"/>
  <c r="C18" i="6"/>
  <c r="C17" i="6"/>
  <c r="C15" i="6"/>
  <c r="C14" i="6"/>
  <c r="C22" i="6"/>
  <c r="C19" i="6"/>
  <c r="C20" i="6"/>
  <c r="C29" i="6" l="1"/>
  <c r="C44" i="6" l="1"/>
  <c r="C6" i="6"/>
  <c r="E7" i="4" l="1"/>
  <c r="H7" i="4" s="1"/>
  <c r="E8" i="4"/>
  <c r="G16" i="4"/>
  <c r="F16" i="4"/>
  <c r="D16" i="4"/>
  <c r="C16" i="4"/>
  <c r="C45" i="6"/>
  <c r="C9" i="6"/>
  <c r="C52" i="6"/>
  <c r="C49" i="6"/>
  <c r="C31" i="6"/>
  <c r="C24" i="6"/>
  <c r="C12" i="6"/>
  <c r="C10" i="6"/>
  <c r="C8" i="6"/>
  <c r="C7" i="6"/>
  <c r="G42" i="5"/>
  <c r="F42" i="5"/>
  <c r="D42" i="5"/>
  <c r="C42" i="5"/>
  <c r="E21" i="5"/>
  <c r="H21" i="5" s="1"/>
  <c r="H42" i="5" s="1"/>
  <c r="E8" i="8"/>
  <c r="H8" i="8" s="1"/>
  <c r="E6" i="8"/>
  <c r="H6" i="8" s="1"/>
  <c r="G16" i="8"/>
  <c r="F16" i="8"/>
  <c r="D16" i="8"/>
  <c r="C16" i="8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H55" i="6" s="1"/>
  <c r="E54" i="6"/>
  <c r="E52" i="6"/>
  <c r="E51" i="6"/>
  <c r="E50" i="6"/>
  <c r="E49" i="6"/>
  <c r="E48" i="6"/>
  <c r="E47" i="6"/>
  <c r="E46" i="6"/>
  <c r="E45" i="6"/>
  <c r="H45" i="6" s="1"/>
  <c r="E44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H28" i="6" s="1"/>
  <c r="E27" i="6"/>
  <c r="E26" i="6"/>
  <c r="E25" i="6"/>
  <c r="E24" i="6"/>
  <c r="E22" i="6"/>
  <c r="H22" i="6" s="1"/>
  <c r="E21" i="6"/>
  <c r="E20" i="6"/>
  <c r="E19" i="6"/>
  <c r="E18" i="6"/>
  <c r="E17" i="6"/>
  <c r="E16" i="6"/>
  <c r="H16" i="6" s="1"/>
  <c r="E15" i="6"/>
  <c r="E14" i="6"/>
  <c r="E12" i="6"/>
  <c r="E11" i="6"/>
  <c r="E10" i="6"/>
  <c r="E9" i="6"/>
  <c r="E8" i="6"/>
  <c r="E7" i="6"/>
  <c r="E6" i="6"/>
  <c r="H6" i="6"/>
  <c r="F69" i="6"/>
  <c r="D69" i="6"/>
  <c r="C69" i="6"/>
  <c r="F65" i="6"/>
  <c r="D65" i="6"/>
  <c r="C65" i="6"/>
  <c r="F57" i="6"/>
  <c r="D57" i="6"/>
  <c r="C57" i="6"/>
  <c r="F53" i="6"/>
  <c r="D53" i="6"/>
  <c r="E53" i="6" s="1"/>
  <c r="H53" i="6" s="1"/>
  <c r="C53" i="6"/>
  <c r="F43" i="6"/>
  <c r="D43" i="6"/>
  <c r="C43" i="6"/>
  <c r="F33" i="6"/>
  <c r="D33" i="6"/>
  <c r="C33" i="6"/>
  <c r="F23" i="6"/>
  <c r="D23" i="6"/>
  <c r="C23" i="6"/>
  <c r="F13" i="6"/>
  <c r="D13" i="6"/>
  <c r="C13" i="6"/>
  <c r="F5" i="6"/>
  <c r="D5" i="6"/>
  <c r="C5" i="6"/>
  <c r="E5" i="6" s="1"/>
  <c r="G77" i="6"/>
  <c r="E16" i="8" l="1"/>
  <c r="E23" i="6"/>
  <c r="H23" i="6" s="1"/>
  <c r="E13" i="6"/>
  <c r="H13" i="6" s="1"/>
  <c r="F77" i="6"/>
  <c r="E42" i="5"/>
  <c r="E16" i="4"/>
  <c r="H16" i="4"/>
  <c r="H16" i="8"/>
  <c r="E43" i="6"/>
  <c r="H43" i="6" s="1"/>
  <c r="C77" i="6"/>
  <c r="D77" i="6"/>
  <c r="H5" i="6"/>
  <c r="E77" i="6" l="1"/>
  <c r="H77" i="6" s="1"/>
</calcChain>
</file>

<file path=xl/sharedStrings.xml><?xml version="1.0" encoding="utf-8"?>
<sst xmlns="http://schemas.openxmlformats.org/spreadsheetml/2006/main" count="203" uniqueCount="141">
  <si>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</si>
  <si>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</si>
  <si>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</si>
  <si>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</si>
  <si>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</si>
  <si>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</si>
  <si>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</si>
  <si>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</si>
  <si>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</si>
  <si>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</si>
  <si>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</si>
  <si>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</si>
  <si>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</si>
  <si>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</si>
  <si>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</si>
  <si>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</si>
  <si>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</si>
  <si>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</si>
  <si>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</si>
  <si>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</si>
  <si>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</si>
  <si>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</si>
  <si>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</si>
  <si>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</si>
  <si>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</si>
  <si>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</si>
  <si>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</si>
  <si>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</si>
  <si>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</si>
  <si>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</si>
  <si>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</si>
  <si>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</si>
  <si>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</si>
  <si>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</si>
  <si>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</si>
  <si>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</si>
  <si>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</si>
  <si>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</si>
  <si>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</si>
  <si>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</si>
  <si>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</si>
  <si>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</si>
  <si>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</si>
  <si>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</si>
  <si>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</si>
  <si>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</si>
  <si>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</si>
  <si>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</si>
  <si>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</si>
  <si>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</si>
  <si>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</si>
  <si>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</si>
  <si>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</si>
  <si>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</si>
  <si>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</si>
  <si>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</si>
  <si>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</si>
  <si>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</si>
  <si>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</si>
  <si>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</si>
  <si>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</si>
  <si>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</si>
  <si>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</si>
  <si>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</si>
  <si>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</si>
  <si>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</si>
  <si>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</si>
  <si>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</si>
  <si>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</si>
  <si>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</si>
  <si>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</si>
  <si>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</si>
  <si>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</si>
  <si>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</si>
  <si>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</si>
  <si>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</si>
  <si>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</si>
  <si>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</si>
  <si>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</si>
  <si>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</si>
  <si>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</si>
  <si>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</si>
  <si>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</si>
  <si>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</si>
  <si>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</si>
  <si>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</si>
  <si>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</si>
  <si>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</si>
  <si>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</si>
  <si>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</si>
  <si>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</si>
  <si>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</si>
  <si>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</si>
  <si>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</si>
  <si>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</si>
  <si>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</si>
  <si>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</si>
  <si>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</si>
  <si>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</si>
  <si>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</si>
  <si>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</si>
  <si>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</si>
  <si>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</si>
  <si>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</si>
  <si>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</si>
  <si>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</si>
  <si>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</si>
  <si>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</si>
  <si>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</si>
  <si>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</si>
  <si>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</si>
  <si>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</si>
  <si>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</si>
  <si>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</si>
  <si>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</si>
  <si>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</si>
  <si>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</si>
  <si>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</si>
  <si>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</si>
  <si>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</si>
  <si>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</si>
  <si>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</si>
  <si>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</si>
  <si>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</si>
  <si>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</si>
  <si>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</si>
  <si>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</si>
  <si>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</si>
  <si>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</si>
  <si>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</si>
  <si>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</si>
  <si>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</si>
  <si>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</si>
  <si>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</si>
  <si>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*</t>
  </si>
  <si>
    <t>Centro de Ciencias Explora</t>
  </si>
  <si>
    <t>Centros del Saber</t>
  </si>
  <si>
    <t>Patronato de Explora
Estado Analítico del Ejercicio del Presupuesto de Egresos
Clasificación por Objeto del Gasto (Capítulo y Concepto)
Del 01 de Enero al 31 de Diciembre de 2019</t>
  </si>
  <si>
    <t>Patronato de Explora
Estado Analítico del Ejercicio del Presupuesto de Egresos
Clasificación Económica (por Tipo de Gasto)
Del 01 de Enero al 31 de Diciembre de 2019</t>
  </si>
  <si>
    <t>Patronato de Explora
Estado Analítico del Ejercicio del Presupuesto de Egresos
Clasificación Administrativa
Del 01 de Enero al 31 de Diciembre de 2019</t>
  </si>
  <si>
    <t>Patronato de Explora
Estado Analítico del Ejercicio del Presupuesto de Egresos
Clasificación Funcional (Finalidad y Función)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</si>
</sst>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0" fillId="0" borderId="0" xfId="0" applyNumberFormat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752600" cy="636778"/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752600" cy="636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1590675</xdr:colOff>
      <xdr:row>1</xdr:row>
      <xdr:rowOff>8128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636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1371600</xdr:colOff>
      <xdr:row>0</xdr:row>
      <xdr:rowOff>557181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5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1476375</xdr:colOff>
      <xdr:row>1</xdr:row>
      <xdr:rowOff>8128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636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showGridLines="0" topLeftCell="A46" workbookViewId="0">
      <selection activeCell="D22" activeCellId="1" sqref="D28 D22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9" ht="50.1" customHeight="1" x14ac:dyDescent="0.2">
      <c r="A1" s="52" t="s">
        <v>137</v>
      </c>
      <c r="B1" s="53"/>
      <c r="C1" s="53"/>
      <c r="D1" s="53"/>
      <c r="E1" s="53"/>
      <c r="F1" s="53"/>
      <c r="G1" s="53"/>
      <c r="H1" s="54"/>
    </row>
    <row r="2" spans="1:9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9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9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9" x14ac:dyDescent="0.2">
      <c r="A5" s="50" t="s">
        <v>67</v>
      </c>
      <c r="B5" s="7"/>
      <c r="C5" s="14">
        <f>SUM(C6:C12)</f>
        <v>15211436.730000002</v>
      </c>
      <c r="D5" s="14">
        <f>SUM(D6:D12)</f>
        <v>3581920</v>
      </c>
      <c r="E5" s="14">
        <f>+C5+D5</f>
        <v>18793356.730000004</v>
      </c>
      <c r="F5" s="14">
        <f t="shared" ref="F5" si="0">SUM(F6:F12)</f>
        <v>15399330.300000001</v>
      </c>
      <c r="G5" s="14">
        <f t="shared" ref="G5" si="1">SUM(G6:G12)</f>
        <v>14992397.790000003</v>
      </c>
      <c r="H5" s="14">
        <f>+E5-F5</f>
        <v>3394026.4300000034</v>
      </c>
    </row>
    <row r="6" spans="1:9" x14ac:dyDescent="0.2">
      <c r="A6" s="5"/>
      <c r="B6" s="11" t="s">
        <v>76</v>
      </c>
      <c r="C6" s="15">
        <f>6860748.82+600959.9-3581920</f>
        <v>3879788.7200000007</v>
      </c>
      <c r="D6" s="15">
        <v>3581920</v>
      </c>
      <c r="E6" s="15">
        <f t="shared" ref="E6:E69" si="2">+C6+D6</f>
        <v>7461708.7200000007</v>
      </c>
      <c r="F6" s="15">
        <v>7119370.3200000003</v>
      </c>
      <c r="G6" s="15">
        <v>7119370.3200000003</v>
      </c>
      <c r="H6" s="15">
        <f t="shared" ref="H6:H69" si="3">+E6-F6</f>
        <v>342338.40000000037</v>
      </c>
    </row>
    <row r="7" spans="1:9" x14ac:dyDescent="0.2">
      <c r="A7" s="5"/>
      <c r="B7" s="11" t="s">
        <v>77</v>
      </c>
      <c r="C7" s="15">
        <f>2838388.23+195619.72</f>
        <v>3034007.95</v>
      </c>
      <c r="D7" s="15"/>
      <c r="E7" s="15">
        <f t="shared" si="2"/>
        <v>3034007.95</v>
      </c>
      <c r="F7" s="15">
        <v>2166963.21</v>
      </c>
      <c r="G7" s="15">
        <v>2166963.21</v>
      </c>
      <c r="H7" s="15">
        <f t="shared" si="3"/>
        <v>867044.74000000022</v>
      </c>
    </row>
    <row r="8" spans="1:9" x14ac:dyDescent="0.2">
      <c r="A8" s="5"/>
      <c r="B8" s="11" t="s">
        <v>78</v>
      </c>
      <c r="C8" s="15">
        <f>134295+619936.56+72000+24960+62752.86</f>
        <v>913944.42</v>
      </c>
      <c r="D8" s="15"/>
      <c r="E8" s="15">
        <f t="shared" si="2"/>
        <v>913944.42</v>
      </c>
      <c r="F8" s="15">
        <v>810738.55</v>
      </c>
      <c r="G8" s="15">
        <v>810738.55</v>
      </c>
      <c r="H8" s="15">
        <f t="shared" si="3"/>
        <v>103205.87</v>
      </c>
    </row>
    <row r="9" spans="1:9" x14ac:dyDescent="0.2">
      <c r="A9" s="5"/>
      <c r="B9" s="11" t="s">
        <v>35</v>
      </c>
      <c r="C9" s="15">
        <f>1718080+798720+748800+244391.54+187901.14+129150</f>
        <v>3827042.68</v>
      </c>
      <c r="D9" s="15"/>
      <c r="E9" s="15">
        <f t="shared" si="2"/>
        <v>3827042.68</v>
      </c>
      <c r="F9" s="15">
        <v>2669930.0299999998</v>
      </c>
      <c r="G9" s="15">
        <f>2669930.03-406932.51</f>
        <v>2262997.5199999996</v>
      </c>
      <c r="H9" s="15">
        <f t="shared" si="3"/>
        <v>1157112.6500000004</v>
      </c>
      <c r="I9" s="1" t="s">
        <v>134</v>
      </c>
    </row>
    <row r="10" spans="1:9" x14ac:dyDescent="0.2">
      <c r="A10" s="5"/>
      <c r="B10" s="11" t="s">
        <v>79</v>
      </c>
      <c r="C10" s="15">
        <f>598693.43+361866+182400+693427+48076.79+120000+59848</f>
        <v>2064311.2200000002</v>
      </c>
      <c r="D10" s="15"/>
      <c r="E10" s="15">
        <f t="shared" si="2"/>
        <v>2064311.2200000002</v>
      </c>
      <c r="F10" s="15">
        <v>1239294.46</v>
      </c>
      <c r="G10" s="15">
        <v>1239294.46</v>
      </c>
      <c r="H10" s="15">
        <f t="shared" si="3"/>
        <v>825016.76000000024</v>
      </c>
    </row>
    <row r="11" spans="1:9" x14ac:dyDescent="0.2">
      <c r="A11" s="5"/>
      <c r="B11" s="11" t="s">
        <v>36</v>
      </c>
      <c r="C11" s="15"/>
      <c r="D11" s="15"/>
      <c r="E11" s="15">
        <f t="shared" si="2"/>
        <v>0</v>
      </c>
      <c r="F11" s="15"/>
      <c r="G11" s="15"/>
      <c r="H11" s="15">
        <f t="shared" si="3"/>
        <v>0</v>
      </c>
    </row>
    <row r="12" spans="1:9" x14ac:dyDescent="0.2">
      <c r="A12" s="5"/>
      <c r="B12" s="11" t="s">
        <v>80</v>
      </c>
      <c r="C12" s="15">
        <f>1372149.76+120191.98</f>
        <v>1492341.74</v>
      </c>
      <c r="D12" s="15"/>
      <c r="E12" s="15">
        <f t="shared" si="2"/>
        <v>1492341.74</v>
      </c>
      <c r="F12" s="15">
        <v>1393033.73</v>
      </c>
      <c r="G12" s="15">
        <v>1393033.73</v>
      </c>
      <c r="H12" s="15">
        <f t="shared" si="3"/>
        <v>99308.010000000009</v>
      </c>
    </row>
    <row r="13" spans="1:9" x14ac:dyDescent="0.2">
      <c r="A13" s="50" t="s">
        <v>68</v>
      </c>
      <c r="B13" s="7"/>
      <c r="C13" s="15">
        <f>SUM(C14:C22)</f>
        <v>3561901.2300000004</v>
      </c>
      <c r="D13" s="15">
        <f>SUM(D14:D22)</f>
        <v>1082552</v>
      </c>
      <c r="E13" s="15">
        <f t="shared" si="2"/>
        <v>4644453.2300000004</v>
      </c>
      <c r="F13" s="15">
        <f t="shared" ref="F13" si="4">SUM(F14:F22)</f>
        <v>4464810.83</v>
      </c>
      <c r="G13" s="15">
        <f t="shared" ref="G13" si="5">SUM(G14:G22)</f>
        <v>4464810.83</v>
      </c>
      <c r="H13" s="15">
        <f t="shared" si="3"/>
        <v>179642.40000000037</v>
      </c>
    </row>
    <row r="14" spans="1:9" x14ac:dyDescent="0.2">
      <c r="A14" s="5"/>
      <c r="B14" s="11" t="s">
        <v>81</v>
      </c>
      <c r="C14" s="15">
        <f>355171.16+60860+83000+1600+337500+3600+21000+13640+124500-115200.15</f>
        <v>885671.00999999989</v>
      </c>
      <c r="D14" s="15"/>
      <c r="E14" s="15">
        <f t="shared" si="2"/>
        <v>885671.00999999989</v>
      </c>
      <c r="F14" s="15">
        <v>885671.01</v>
      </c>
      <c r="G14" s="15">
        <v>885671.01</v>
      </c>
      <c r="H14" s="15">
        <f t="shared" si="3"/>
        <v>0</v>
      </c>
    </row>
    <row r="15" spans="1:9" x14ac:dyDescent="0.2">
      <c r="A15" s="5"/>
      <c r="B15" s="11" t="s">
        <v>82</v>
      </c>
      <c r="C15" s="15">
        <f>71446.41+59000-122787.08</f>
        <v>7659.3300000000017</v>
      </c>
      <c r="D15" s="15"/>
      <c r="E15" s="15">
        <f t="shared" si="2"/>
        <v>7659.3300000000017</v>
      </c>
      <c r="F15" s="15">
        <v>7659.33</v>
      </c>
      <c r="G15" s="15">
        <v>7659.33</v>
      </c>
      <c r="H15" s="15">
        <f t="shared" si="3"/>
        <v>0</v>
      </c>
    </row>
    <row r="16" spans="1:9" x14ac:dyDescent="0.2">
      <c r="A16" s="5"/>
      <c r="B16" s="11" t="s">
        <v>83</v>
      </c>
      <c r="C16" s="15">
        <f>929500+38000+1202500+18000-827552+133880+10000+51605.6+122787.08+115200.15+142.06</f>
        <v>1794062.8900000001</v>
      </c>
      <c r="D16" s="15">
        <f>827552+75357.6</f>
        <v>902909.6</v>
      </c>
      <c r="E16" s="15">
        <f t="shared" si="2"/>
        <v>2696972.49</v>
      </c>
      <c r="F16" s="15">
        <v>2696972.49</v>
      </c>
      <c r="G16" s="15">
        <v>2696972.49</v>
      </c>
      <c r="H16" s="15">
        <f t="shared" si="3"/>
        <v>0</v>
      </c>
    </row>
    <row r="17" spans="1:9" x14ac:dyDescent="0.2">
      <c r="A17" s="5"/>
      <c r="B17" s="11" t="s">
        <v>84</v>
      </c>
      <c r="C17" s="15">
        <f>585000-86847.7-51605.6</f>
        <v>446546.7</v>
      </c>
      <c r="D17" s="15"/>
      <c r="E17" s="15">
        <f t="shared" si="2"/>
        <v>446546.7</v>
      </c>
      <c r="F17" s="15">
        <v>446546.7</v>
      </c>
      <c r="G17" s="15">
        <v>446546.7</v>
      </c>
      <c r="H17" s="15">
        <f t="shared" si="3"/>
        <v>0</v>
      </c>
    </row>
    <row r="18" spans="1:9" x14ac:dyDescent="0.2">
      <c r="A18" s="5"/>
      <c r="B18" s="11" t="s">
        <v>85</v>
      </c>
      <c r="C18" s="15">
        <f>32000+14500+600-23458.71-10000</f>
        <v>13641.29</v>
      </c>
      <c r="D18" s="15"/>
      <c r="E18" s="15">
        <f t="shared" si="2"/>
        <v>13641.29</v>
      </c>
      <c r="F18" s="15">
        <v>13641.29</v>
      </c>
      <c r="G18" s="15">
        <v>13641.29</v>
      </c>
      <c r="H18" s="15">
        <f t="shared" si="3"/>
        <v>0</v>
      </c>
    </row>
    <row r="19" spans="1:9" x14ac:dyDescent="0.2">
      <c r="A19" s="5"/>
      <c r="B19" s="11" t="s">
        <v>86</v>
      </c>
      <c r="C19" s="15">
        <f>138194.16+23316.65</f>
        <v>161510.81</v>
      </c>
      <c r="D19" s="15"/>
      <c r="E19" s="15">
        <f t="shared" si="2"/>
        <v>161510.81</v>
      </c>
      <c r="F19" s="15">
        <v>161510.81</v>
      </c>
      <c r="G19" s="15">
        <v>161510.81</v>
      </c>
      <c r="H19" s="15">
        <f t="shared" si="3"/>
        <v>0</v>
      </c>
    </row>
    <row r="20" spans="1:9" x14ac:dyDescent="0.2">
      <c r="A20" s="5"/>
      <c r="B20" s="11" t="s">
        <v>87</v>
      </c>
      <c r="C20" s="15">
        <f>129000+1000+5000-133880</f>
        <v>1120</v>
      </c>
      <c r="D20" s="15"/>
      <c r="E20" s="15">
        <f t="shared" si="2"/>
        <v>1120</v>
      </c>
      <c r="F20" s="15">
        <v>1120</v>
      </c>
      <c r="G20" s="15">
        <v>1120</v>
      </c>
      <c r="H20" s="15">
        <f t="shared" si="3"/>
        <v>0</v>
      </c>
    </row>
    <row r="21" spans="1:9" x14ac:dyDescent="0.2">
      <c r="A21" s="5"/>
      <c r="B21" s="11" t="s">
        <v>88</v>
      </c>
      <c r="C21" s="15"/>
      <c r="D21" s="15"/>
      <c r="E21" s="15">
        <f t="shared" si="2"/>
        <v>0</v>
      </c>
      <c r="F21" s="15"/>
      <c r="G21" s="15"/>
      <c r="H21" s="15">
        <f t="shared" si="3"/>
        <v>0</v>
      </c>
    </row>
    <row r="22" spans="1:9" x14ac:dyDescent="0.2">
      <c r="A22" s="5"/>
      <c r="B22" s="11" t="s">
        <v>89</v>
      </c>
      <c r="C22" s="15">
        <f>10000+50000+12000+44341.5+42500+6000+86847.7</f>
        <v>251689.2</v>
      </c>
      <c r="D22" s="15">
        <f>255000-75357.6</f>
        <v>179642.4</v>
      </c>
      <c r="E22" s="15">
        <f t="shared" si="2"/>
        <v>431331.6</v>
      </c>
      <c r="F22" s="15">
        <v>251689.2</v>
      </c>
      <c r="G22" s="15">
        <v>251689.2</v>
      </c>
      <c r="H22" s="15">
        <f t="shared" si="3"/>
        <v>179642.39999999997</v>
      </c>
    </row>
    <row r="23" spans="1:9" x14ac:dyDescent="0.2">
      <c r="A23" s="50" t="s">
        <v>69</v>
      </c>
      <c r="B23" s="7"/>
      <c r="C23" s="15">
        <f>SUM(C24:C32)</f>
        <v>14124747.85</v>
      </c>
      <c r="D23" s="15">
        <f>SUM(D24:D32)</f>
        <v>4601987.3900000006</v>
      </c>
      <c r="E23" s="15">
        <f t="shared" si="2"/>
        <v>18726735.240000002</v>
      </c>
      <c r="F23" s="15">
        <f t="shared" ref="F23" si="6">SUM(F24:F32)</f>
        <v>16684133.060000001</v>
      </c>
      <c r="G23" s="15">
        <f t="shared" ref="G23" si="7">SUM(G24:G32)</f>
        <v>16553593.060000001</v>
      </c>
      <c r="H23" s="15">
        <f t="shared" si="3"/>
        <v>2042602.1800000016</v>
      </c>
    </row>
    <row r="24" spans="1:9" x14ac:dyDescent="0.2">
      <c r="A24" s="5"/>
      <c r="B24" s="11" t="s">
        <v>90</v>
      </c>
      <c r="C24" s="15">
        <f>1030000+48500+3822.73+253342.77+27600+16200+1100+5520+21727.79+144000+69660+16800</f>
        <v>1638273.29</v>
      </c>
      <c r="D24" s="15"/>
      <c r="E24" s="15">
        <f t="shared" si="2"/>
        <v>1638273.29</v>
      </c>
      <c r="F24" s="15">
        <v>1498342.37</v>
      </c>
      <c r="G24" s="15">
        <f>1498342.37-101879</f>
        <v>1396463.37</v>
      </c>
      <c r="H24" s="15">
        <f t="shared" si="3"/>
        <v>139930.91999999993</v>
      </c>
      <c r="I24" s="1" t="s">
        <v>134</v>
      </c>
    </row>
    <row r="25" spans="1:9" x14ac:dyDescent="0.2">
      <c r="A25" s="5"/>
      <c r="B25" s="11" t="s">
        <v>91</v>
      </c>
      <c r="C25" s="15">
        <f>25000+30000+2093870.4+296600-150000-100000</f>
        <v>2195470.4</v>
      </c>
      <c r="D25" s="15"/>
      <c r="E25" s="15">
        <f t="shared" si="2"/>
        <v>2195470.4</v>
      </c>
      <c r="F25" s="15">
        <v>2050776.16</v>
      </c>
      <c r="G25" s="15">
        <v>2050776.16</v>
      </c>
      <c r="H25" s="15">
        <f t="shared" si="3"/>
        <v>144694.24</v>
      </c>
    </row>
    <row r="26" spans="1:9" x14ac:dyDescent="0.2">
      <c r="A26" s="5"/>
      <c r="B26" s="11" t="s">
        <v>92</v>
      </c>
      <c r="C26" s="15">
        <f>80760+54000+121742.81+14123.06+412000+312000+38021.86+150000+250000</f>
        <v>1432647.73</v>
      </c>
      <c r="D26" s="15"/>
      <c r="E26" s="15">
        <f t="shared" si="2"/>
        <v>1432647.73</v>
      </c>
      <c r="F26" s="15">
        <v>1417306.14</v>
      </c>
      <c r="G26" s="15">
        <v>1417306.14</v>
      </c>
      <c r="H26" s="15">
        <f t="shared" si="3"/>
        <v>15341.590000000084</v>
      </c>
    </row>
    <row r="27" spans="1:9" x14ac:dyDescent="0.2">
      <c r="A27" s="5"/>
      <c r="B27" s="11" t="s">
        <v>93</v>
      </c>
      <c r="C27" s="15">
        <f>95466.47+242441.54+248698.01+85000+130000-250000-100000</f>
        <v>451606.02</v>
      </c>
      <c r="D27" s="15"/>
      <c r="E27" s="15">
        <f t="shared" si="2"/>
        <v>451606.02</v>
      </c>
      <c r="F27" s="15">
        <v>338853.84</v>
      </c>
      <c r="G27" s="15">
        <v>338853.84</v>
      </c>
      <c r="H27" s="15">
        <f t="shared" si="3"/>
        <v>112752.18</v>
      </c>
    </row>
    <row r="28" spans="1:9" x14ac:dyDescent="0.2">
      <c r="A28" s="5"/>
      <c r="B28" s="11" t="s">
        <v>94</v>
      </c>
      <c r="C28" s="15">
        <f>458500+50000+542311.85+31388.45+21840+270000+1320000+96000+111500+30000+5400+240000+75000-30317.73-116046.54</f>
        <v>3105576.03</v>
      </c>
      <c r="D28" s="15">
        <v>1313496.3900000006</v>
      </c>
      <c r="E28" s="15">
        <f t="shared" si="2"/>
        <v>4419072.42</v>
      </c>
      <c r="F28" s="15">
        <v>2892226.5600000001</v>
      </c>
      <c r="G28" s="15">
        <v>2892226.5600000001</v>
      </c>
      <c r="H28" s="15">
        <f t="shared" si="3"/>
        <v>1526845.8599999999</v>
      </c>
    </row>
    <row r="29" spans="1:9" x14ac:dyDescent="0.2">
      <c r="A29" s="5"/>
      <c r="B29" s="11" t="s">
        <v>95</v>
      </c>
      <c r="C29" s="15">
        <f>1440600+2520000+35810-3288491-38021.86</f>
        <v>669897.14</v>
      </c>
      <c r="D29" s="15">
        <v>3288491</v>
      </c>
      <c r="E29" s="15">
        <f t="shared" si="2"/>
        <v>3958388.14</v>
      </c>
      <c r="F29" s="15">
        <v>3944399.5</v>
      </c>
      <c r="G29" s="15">
        <v>3944399.5</v>
      </c>
      <c r="H29" s="15">
        <f t="shared" si="3"/>
        <v>13988.64000000013</v>
      </c>
    </row>
    <row r="30" spans="1:9" x14ac:dyDescent="0.2">
      <c r="A30" s="5"/>
      <c r="B30" s="11" t="s">
        <v>96</v>
      </c>
      <c r="C30" s="15">
        <f>37000+43200+188285.07+126400+40000+2000+30317.73</f>
        <v>467202.8</v>
      </c>
      <c r="D30" s="15"/>
      <c r="E30" s="15">
        <f t="shared" si="2"/>
        <v>467202.8</v>
      </c>
      <c r="F30" s="15">
        <v>467202.8</v>
      </c>
      <c r="G30" s="15">
        <v>467202.8</v>
      </c>
      <c r="H30" s="15">
        <f t="shared" si="3"/>
        <v>0</v>
      </c>
    </row>
    <row r="31" spans="1:9" x14ac:dyDescent="0.2">
      <c r="A31" s="5"/>
      <c r="B31" s="11" t="s">
        <v>97</v>
      </c>
      <c r="C31" s="15">
        <f>15000+90000+34000+345000+31780</f>
        <v>515780</v>
      </c>
      <c r="D31" s="15"/>
      <c r="E31" s="15">
        <f t="shared" si="2"/>
        <v>515780</v>
      </c>
      <c r="F31" s="15">
        <v>426731.25</v>
      </c>
      <c r="G31" s="15">
        <v>426731.25</v>
      </c>
      <c r="H31" s="15">
        <f t="shared" si="3"/>
        <v>89048.75</v>
      </c>
    </row>
    <row r="32" spans="1:9" x14ac:dyDescent="0.2">
      <c r="A32" s="5"/>
      <c r="B32" s="11" t="s">
        <v>19</v>
      </c>
      <c r="C32" s="15">
        <f>898623.92+120000+250000+20000+243527.8+1493513.15+287424.38+19158.65+100000+100000+116046.54</f>
        <v>3648294.44</v>
      </c>
      <c r="D32" s="15"/>
      <c r="E32" s="15">
        <f t="shared" si="2"/>
        <v>3648294.44</v>
      </c>
      <c r="F32" s="15">
        <v>3648294.44</v>
      </c>
      <c r="G32" s="15">
        <f>3648294.44-28661</f>
        <v>3619633.44</v>
      </c>
      <c r="H32" s="15">
        <f t="shared" si="3"/>
        <v>0</v>
      </c>
      <c r="I32" s="1" t="s">
        <v>134</v>
      </c>
    </row>
    <row r="33" spans="1:8" x14ac:dyDescent="0.2">
      <c r="A33" s="50" t="s">
        <v>70</v>
      </c>
      <c r="B33" s="7"/>
      <c r="C33" s="15">
        <f>SUM(C34:C42)</f>
        <v>0</v>
      </c>
      <c r="D33" s="15">
        <f>SUM(D34:D42)</f>
        <v>0</v>
      </c>
      <c r="E33" s="15">
        <f t="shared" si="2"/>
        <v>0</v>
      </c>
      <c r="F33" s="15">
        <f t="shared" ref="F33" si="8">SUM(F34:F42)</f>
        <v>0</v>
      </c>
      <c r="G33" s="15">
        <f t="shared" ref="G33" si="9">SUM(G34:G42)</f>
        <v>0</v>
      </c>
      <c r="H33" s="15">
        <f t="shared" si="3"/>
        <v>0</v>
      </c>
    </row>
    <row r="34" spans="1:8" x14ac:dyDescent="0.2">
      <c r="A34" s="5"/>
      <c r="B34" s="11" t="s">
        <v>98</v>
      </c>
      <c r="C34" s="15"/>
      <c r="D34" s="15"/>
      <c r="E34" s="15">
        <f t="shared" si="2"/>
        <v>0</v>
      </c>
      <c r="F34" s="15"/>
      <c r="G34" s="15"/>
      <c r="H34" s="15">
        <f t="shared" si="3"/>
        <v>0</v>
      </c>
    </row>
    <row r="35" spans="1:8" x14ac:dyDescent="0.2">
      <c r="A35" s="5"/>
      <c r="B35" s="11" t="s">
        <v>99</v>
      </c>
      <c r="C35" s="15"/>
      <c r="D35" s="15"/>
      <c r="E35" s="15">
        <f t="shared" si="2"/>
        <v>0</v>
      </c>
      <c r="F35" s="15"/>
      <c r="G35" s="15"/>
      <c r="H35" s="15">
        <f t="shared" si="3"/>
        <v>0</v>
      </c>
    </row>
    <row r="36" spans="1:8" x14ac:dyDescent="0.2">
      <c r="A36" s="5"/>
      <c r="B36" s="11" t="s">
        <v>100</v>
      </c>
      <c r="C36" s="15"/>
      <c r="D36" s="15"/>
      <c r="E36" s="15">
        <f t="shared" si="2"/>
        <v>0</v>
      </c>
      <c r="F36" s="15"/>
      <c r="G36" s="15"/>
      <c r="H36" s="15">
        <f t="shared" si="3"/>
        <v>0</v>
      </c>
    </row>
    <row r="37" spans="1:8" x14ac:dyDescent="0.2">
      <c r="A37" s="5"/>
      <c r="B37" s="11" t="s">
        <v>101</v>
      </c>
      <c r="C37" s="15"/>
      <c r="D37" s="15"/>
      <c r="E37" s="15">
        <f t="shared" si="2"/>
        <v>0</v>
      </c>
      <c r="F37" s="15"/>
      <c r="G37" s="15"/>
      <c r="H37" s="15">
        <f t="shared" si="3"/>
        <v>0</v>
      </c>
    </row>
    <row r="38" spans="1:8" x14ac:dyDescent="0.2">
      <c r="A38" s="5"/>
      <c r="B38" s="11" t="s">
        <v>41</v>
      </c>
      <c r="C38" s="15"/>
      <c r="D38" s="15"/>
      <c r="E38" s="15">
        <f t="shared" si="2"/>
        <v>0</v>
      </c>
      <c r="F38" s="15"/>
      <c r="G38" s="15"/>
      <c r="H38" s="15">
        <f t="shared" si="3"/>
        <v>0</v>
      </c>
    </row>
    <row r="39" spans="1:8" x14ac:dyDescent="0.2">
      <c r="A39" s="5"/>
      <c r="B39" s="11" t="s">
        <v>102</v>
      </c>
      <c r="C39" s="15"/>
      <c r="D39" s="15"/>
      <c r="E39" s="15">
        <f t="shared" si="2"/>
        <v>0</v>
      </c>
      <c r="F39" s="15"/>
      <c r="G39" s="15"/>
      <c r="H39" s="15">
        <f t="shared" si="3"/>
        <v>0</v>
      </c>
    </row>
    <row r="40" spans="1:8" x14ac:dyDescent="0.2">
      <c r="A40" s="5"/>
      <c r="B40" s="11" t="s">
        <v>103</v>
      </c>
      <c r="C40" s="15"/>
      <c r="D40" s="15"/>
      <c r="E40" s="15">
        <f t="shared" si="2"/>
        <v>0</v>
      </c>
      <c r="F40" s="15"/>
      <c r="G40" s="15"/>
      <c r="H40" s="15">
        <f t="shared" si="3"/>
        <v>0</v>
      </c>
    </row>
    <row r="41" spans="1:8" x14ac:dyDescent="0.2">
      <c r="A41" s="5"/>
      <c r="B41" s="11" t="s">
        <v>37</v>
      </c>
      <c r="C41" s="15"/>
      <c r="D41" s="15"/>
      <c r="E41" s="15">
        <f t="shared" si="2"/>
        <v>0</v>
      </c>
      <c r="F41" s="15"/>
      <c r="G41" s="15"/>
      <c r="H41" s="15">
        <f t="shared" si="3"/>
        <v>0</v>
      </c>
    </row>
    <row r="42" spans="1:8" x14ac:dyDescent="0.2">
      <c r="A42" s="5"/>
      <c r="B42" s="11" t="s">
        <v>104</v>
      </c>
      <c r="C42" s="15"/>
      <c r="D42" s="15"/>
      <c r="E42" s="15">
        <f t="shared" si="2"/>
        <v>0</v>
      </c>
      <c r="F42" s="15"/>
      <c r="G42" s="15"/>
      <c r="H42" s="15">
        <f t="shared" si="3"/>
        <v>0</v>
      </c>
    </row>
    <row r="43" spans="1:8" x14ac:dyDescent="0.2">
      <c r="A43" s="50" t="s">
        <v>71</v>
      </c>
      <c r="B43" s="7"/>
      <c r="C43" s="15">
        <f>SUM(C44:C52)</f>
        <v>631925.43000000005</v>
      </c>
      <c r="D43" s="15">
        <f>SUM(D44:D52)</f>
        <v>53796880.259999998</v>
      </c>
      <c r="E43" s="15">
        <f t="shared" si="2"/>
        <v>54428805.689999998</v>
      </c>
      <c r="F43" s="15">
        <f t="shared" ref="F43" si="10">SUM(F44:F52)</f>
        <v>4329694.2700000005</v>
      </c>
      <c r="G43" s="15">
        <f t="shared" ref="G43" si="11">SUM(G44:G52)</f>
        <v>4329694.2700000005</v>
      </c>
      <c r="H43" s="15">
        <f t="shared" si="3"/>
        <v>50099111.419999994</v>
      </c>
    </row>
    <row r="44" spans="1:8" x14ac:dyDescent="0.2">
      <c r="A44" s="5"/>
      <c r="B44" s="11" t="s">
        <v>105</v>
      </c>
      <c r="C44" s="15">
        <f>76000+2000+76061.15+300200+3000-148268</f>
        <v>308993.15000000002</v>
      </c>
      <c r="D44" s="15">
        <v>148268</v>
      </c>
      <c r="E44" s="15">
        <f t="shared" si="2"/>
        <v>457261.15</v>
      </c>
      <c r="F44" s="15">
        <f>12173.78+1927871.97+14866.45+29271.09+16752.64</f>
        <v>2000935.93</v>
      </c>
      <c r="G44" s="15">
        <f>12173.78+1927871.97+14866.45+29271.09+16752.64</f>
        <v>2000935.93</v>
      </c>
      <c r="H44" s="15">
        <f t="shared" si="3"/>
        <v>-1543674.7799999998</v>
      </c>
    </row>
    <row r="45" spans="1:8" x14ac:dyDescent="0.2">
      <c r="A45" s="5"/>
      <c r="B45" s="11" t="s">
        <v>106</v>
      </c>
      <c r="C45" s="15">
        <f>60000+35000</f>
        <v>95000</v>
      </c>
      <c r="D45" s="15">
        <v>53648612.259999998</v>
      </c>
      <c r="E45" s="15">
        <f t="shared" si="2"/>
        <v>53743612.259999998</v>
      </c>
      <c r="F45" s="15">
        <f>16590+20635.06+2686.88+1575618.46</f>
        <v>1615530.4</v>
      </c>
      <c r="G45" s="15">
        <f>16590+20635.06+2686.88+1575618.46</f>
        <v>1615530.4</v>
      </c>
      <c r="H45" s="15">
        <f t="shared" si="3"/>
        <v>52128081.859999999</v>
      </c>
    </row>
    <row r="46" spans="1:8" x14ac:dyDescent="0.2">
      <c r="A46" s="5"/>
      <c r="B46" s="11" t="s">
        <v>107</v>
      </c>
      <c r="C46" s="15"/>
      <c r="D46" s="15"/>
      <c r="E46" s="15">
        <f t="shared" si="2"/>
        <v>0</v>
      </c>
      <c r="F46" s="15"/>
      <c r="G46" s="15"/>
      <c r="H46" s="15">
        <f t="shared" si="3"/>
        <v>0</v>
      </c>
    </row>
    <row r="47" spans="1:8" x14ac:dyDescent="0.2">
      <c r="A47" s="5"/>
      <c r="B47" s="11" t="s">
        <v>108</v>
      </c>
      <c r="C47" s="15"/>
      <c r="D47" s="15"/>
      <c r="E47" s="15">
        <f t="shared" si="2"/>
        <v>0</v>
      </c>
      <c r="F47" s="15"/>
      <c r="G47" s="15"/>
      <c r="H47" s="15">
        <f t="shared" si="3"/>
        <v>0</v>
      </c>
    </row>
    <row r="48" spans="1:8" x14ac:dyDescent="0.2">
      <c r="A48" s="5"/>
      <c r="B48" s="11" t="s">
        <v>109</v>
      </c>
      <c r="C48" s="15">
        <v>20000</v>
      </c>
      <c r="D48" s="15"/>
      <c r="E48" s="15">
        <f t="shared" si="2"/>
        <v>20000</v>
      </c>
      <c r="F48" s="15">
        <v>7536.96</v>
      </c>
      <c r="G48" s="15">
        <v>7536.96</v>
      </c>
      <c r="H48" s="15">
        <f t="shared" si="3"/>
        <v>12463.04</v>
      </c>
    </row>
    <row r="49" spans="1:8" x14ac:dyDescent="0.2">
      <c r="A49" s="5"/>
      <c r="B49" s="11" t="s">
        <v>110</v>
      </c>
      <c r="C49" s="15">
        <f>35000+7000</f>
        <v>42000</v>
      </c>
      <c r="D49" s="15"/>
      <c r="E49" s="15">
        <f t="shared" si="2"/>
        <v>42000</v>
      </c>
      <c r="F49" s="15">
        <f>1618.14+471</f>
        <v>2089.1400000000003</v>
      </c>
      <c r="G49" s="15">
        <f>1618.14+471</f>
        <v>2089.1400000000003</v>
      </c>
      <c r="H49" s="15">
        <f t="shared" si="3"/>
        <v>39910.86</v>
      </c>
    </row>
    <row r="50" spans="1:8" x14ac:dyDescent="0.2">
      <c r="A50" s="5"/>
      <c r="B50" s="11" t="s">
        <v>111</v>
      </c>
      <c r="C50" s="15"/>
      <c r="D50" s="15"/>
      <c r="E50" s="15">
        <f t="shared" si="2"/>
        <v>0</v>
      </c>
      <c r="F50" s="15"/>
      <c r="G50" s="15"/>
      <c r="H50" s="15">
        <f t="shared" si="3"/>
        <v>0</v>
      </c>
    </row>
    <row r="51" spans="1:8" x14ac:dyDescent="0.2">
      <c r="A51" s="5"/>
      <c r="B51" s="11" t="s">
        <v>112</v>
      </c>
      <c r="C51" s="15"/>
      <c r="D51" s="15"/>
      <c r="E51" s="15">
        <f t="shared" si="2"/>
        <v>0</v>
      </c>
      <c r="F51" s="15">
        <v>67756.42</v>
      </c>
      <c r="G51" s="15">
        <v>67756.42</v>
      </c>
      <c r="H51" s="15">
        <f t="shared" si="3"/>
        <v>-67756.42</v>
      </c>
    </row>
    <row r="52" spans="1:8" x14ac:dyDescent="0.2">
      <c r="A52" s="5"/>
      <c r="B52" s="11" t="s">
        <v>113</v>
      </c>
      <c r="C52" s="15">
        <f>38000+10040+32000+73892.28+12000</f>
        <v>165932.28</v>
      </c>
      <c r="D52" s="15"/>
      <c r="E52" s="15">
        <f t="shared" si="2"/>
        <v>165932.28</v>
      </c>
      <c r="F52" s="15">
        <v>635845.42000000004</v>
      </c>
      <c r="G52" s="15">
        <v>635845.42000000004</v>
      </c>
      <c r="H52" s="15">
        <f t="shared" si="3"/>
        <v>-469913.14</v>
      </c>
    </row>
    <row r="53" spans="1:8" x14ac:dyDescent="0.2">
      <c r="A53" s="50" t="s">
        <v>72</v>
      </c>
      <c r="B53" s="7"/>
      <c r="C53" s="15">
        <f>SUM(C54:C56)</f>
        <v>0</v>
      </c>
      <c r="D53" s="15">
        <f>SUM(D54:D56)</f>
        <v>11342169.639999999</v>
      </c>
      <c r="E53" s="15">
        <f t="shared" si="2"/>
        <v>11342169.639999999</v>
      </c>
      <c r="F53" s="15">
        <f t="shared" ref="F53:G53" si="12">SUM(F54:F56)</f>
        <v>0</v>
      </c>
      <c r="G53" s="15">
        <f t="shared" si="12"/>
        <v>0</v>
      </c>
      <c r="H53" s="15">
        <f t="shared" si="3"/>
        <v>11342169.639999999</v>
      </c>
    </row>
    <row r="54" spans="1:8" x14ac:dyDescent="0.2">
      <c r="A54" s="5"/>
      <c r="B54" s="11" t="s">
        <v>114</v>
      </c>
      <c r="C54" s="15"/>
      <c r="D54" s="15"/>
      <c r="E54" s="15">
        <f t="shared" si="2"/>
        <v>0</v>
      </c>
      <c r="F54" s="15"/>
      <c r="G54" s="15"/>
      <c r="H54" s="15">
        <f t="shared" si="3"/>
        <v>0</v>
      </c>
    </row>
    <row r="55" spans="1:8" x14ac:dyDescent="0.2">
      <c r="A55" s="5"/>
      <c r="B55" s="11" t="s">
        <v>115</v>
      </c>
      <c r="C55" s="15"/>
      <c r="D55" s="15">
        <v>11342169.639999999</v>
      </c>
      <c r="E55" s="15">
        <f t="shared" si="2"/>
        <v>11342169.639999999</v>
      </c>
      <c r="F55" s="15"/>
      <c r="G55" s="15"/>
      <c r="H55" s="15">
        <f t="shared" si="3"/>
        <v>11342169.639999999</v>
      </c>
    </row>
    <row r="56" spans="1:8" x14ac:dyDescent="0.2">
      <c r="A56" s="5"/>
      <c r="B56" s="11" t="s">
        <v>116</v>
      </c>
      <c r="C56" s="15"/>
      <c r="D56" s="15"/>
      <c r="E56" s="15">
        <f t="shared" si="2"/>
        <v>0</v>
      </c>
      <c r="F56" s="15"/>
      <c r="G56" s="15"/>
      <c r="H56" s="15">
        <f t="shared" si="3"/>
        <v>0</v>
      </c>
    </row>
    <row r="57" spans="1:8" x14ac:dyDescent="0.2">
      <c r="A57" s="50" t="s">
        <v>73</v>
      </c>
      <c r="B57" s="7"/>
      <c r="C57" s="15">
        <f>SUM(C58:C64)</f>
        <v>0</v>
      </c>
      <c r="D57" s="15">
        <f>SUM(D58:D64)</f>
        <v>0</v>
      </c>
      <c r="E57" s="15">
        <f t="shared" si="2"/>
        <v>0</v>
      </c>
      <c r="F57" s="15">
        <f t="shared" ref="F57:G57" si="13">SUM(F58:F64)</f>
        <v>0</v>
      </c>
      <c r="G57" s="15">
        <f t="shared" si="13"/>
        <v>0</v>
      </c>
      <c r="H57" s="15">
        <f t="shared" si="3"/>
        <v>0</v>
      </c>
    </row>
    <row r="58" spans="1:8" x14ac:dyDescent="0.2">
      <c r="A58" s="5"/>
      <c r="B58" s="11" t="s">
        <v>117</v>
      </c>
      <c r="C58" s="15"/>
      <c r="D58" s="15"/>
      <c r="E58" s="15">
        <f t="shared" si="2"/>
        <v>0</v>
      </c>
      <c r="F58" s="15"/>
      <c r="G58" s="15"/>
      <c r="H58" s="15">
        <f t="shared" si="3"/>
        <v>0</v>
      </c>
    </row>
    <row r="59" spans="1:8" x14ac:dyDescent="0.2">
      <c r="A59" s="5"/>
      <c r="B59" s="11" t="s">
        <v>118</v>
      </c>
      <c r="C59" s="15"/>
      <c r="D59" s="15"/>
      <c r="E59" s="15">
        <f t="shared" si="2"/>
        <v>0</v>
      </c>
      <c r="F59" s="15"/>
      <c r="G59" s="15"/>
      <c r="H59" s="15">
        <f t="shared" si="3"/>
        <v>0</v>
      </c>
    </row>
    <row r="60" spans="1:8" x14ac:dyDescent="0.2">
      <c r="A60" s="5"/>
      <c r="B60" s="11" t="s">
        <v>119</v>
      </c>
      <c r="C60" s="15"/>
      <c r="D60" s="15"/>
      <c r="E60" s="15">
        <f t="shared" si="2"/>
        <v>0</v>
      </c>
      <c r="F60" s="15"/>
      <c r="G60" s="15"/>
      <c r="H60" s="15">
        <f t="shared" si="3"/>
        <v>0</v>
      </c>
    </row>
    <row r="61" spans="1:8" x14ac:dyDescent="0.2">
      <c r="A61" s="5"/>
      <c r="B61" s="11" t="s">
        <v>120</v>
      </c>
      <c r="C61" s="15"/>
      <c r="D61" s="15"/>
      <c r="E61" s="15">
        <f t="shared" si="2"/>
        <v>0</v>
      </c>
      <c r="F61" s="15"/>
      <c r="G61" s="15"/>
      <c r="H61" s="15">
        <f t="shared" si="3"/>
        <v>0</v>
      </c>
    </row>
    <row r="62" spans="1:8" x14ac:dyDescent="0.2">
      <c r="A62" s="5"/>
      <c r="B62" s="11" t="s">
        <v>121</v>
      </c>
      <c r="C62" s="15"/>
      <c r="D62" s="15"/>
      <c r="E62" s="15">
        <f t="shared" si="2"/>
        <v>0</v>
      </c>
      <c r="F62" s="15"/>
      <c r="G62" s="15"/>
      <c r="H62" s="15">
        <f t="shared" si="3"/>
        <v>0</v>
      </c>
    </row>
    <row r="63" spans="1:8" x14ac:dyDescent="0.2">
      <c r="A63" s="5"/>
      <c r="B63" s="11" t="s">
        <v>122</v>
      </c>
      <c r="C63" s="15"/>
      <c r="D63" s="15"/>
      <c r="E63" s="15">
        <f t="shared" si="2"/>
        <v>0</v>
      </c>
      <c r="F63" s="15"/>
      <c r="G63" s="15"/>
      <c r="H63" s="15">
        <f t="shared" si="3"/>
        <v>0</v>
      </c>
    </row>
    <row r="64" spans="1:8" x14ac:dyDescent="0.2">
      <c r="A64" s="5"/>
      <c r="B64" s="11" t="s">
        <v>123</v>
      </c>
      <c r="C64" s="15"/>
      <c r="D64" s="15"/>
      <c r="E64" s="15">
        <f t="shared" si="2"/>
        <v>0</v>
      </c>
      <c r="F64" s="15"/>
      <c r="G64" s="15"/>
      <c r="H64" s="15">
        <f t="shared" si="3"/>
        <v>0</v>
      </c>
    </row>
    <row r="65" spans="1:8" x14ac:dyDescent="0.2">
      <c r="A65" s="50" t="s">
        <v>74</v>
      </c>
      <c r="B65" s="7"/>
      <c r="C65" s="15">
        <f>SUM(C66:C68)</f>
        <v>0</v>
      </c>
      <c r="D65" s="15">
        <f>SUM(D66:D68)</f>
        <v>0</v>
      </c>
      <c r="E65" s="15">
        <f t="shared" si="2"/>
        <v>0</v>
      </c>
      <c r="F65" s="15">
        <f t="shared" ref="F65:G65" si="14">SUM(F66:F68)</f>
        <v>0</v>
      </c>
      <c r="G65" s="15">
        <f t="shared" si="14"/>
        <v>0</v>
      </c>
      <c r="H65" s="15">
        <f t="shared" si="3"/>
        <v>0</v>
      </c>
    </row>
    <row r="66" spans="1:8" x14ac:dyDescent="0.2">
      <c r="A66" s="5"/>
      <c r="B66" s="11" t="s">
        <v>38</v>
      </c>
      <c r="C66" s="15"/>
      <c r="D66" s="15"/>
      <c r="E66" s="15">
        <f t="shared" si="2"/>
        <v>0</v>
      </c>
      <c r="F66" s="15"/>
      <c r="G66" s="15"/>
      <c r="H66" s="15">
        <f t="shared" si="3"/>
        <v>0</v>
      </c>
    </row>
    <row r="67" spans="1:8" x14ac:dyDescent="0.2">
      <c r="A67" s="5"/>
      <c r="B67" s="11" t="s">
        <v>39</v>
      </c>
      <c r="C67" s="15"/>
      <c r="D67" s="15"/>
      <c r="E67" s="15">
        <f t="shared" si="2"/>
        <v>0</v>
      </c>
      <c r="F67" s="15"/>
      <c r="G67" s="15"/>
      <c r="H67" s="15">
        <f t="shared" si="3"/>
        <v>0</v>
      </c>
    </row>
    <row r="68" spans="1:8" x14ac:dyDescent="0.2">
      <c r="A68" s="5"/>
      <c r="B68" s="11" t="s">
        <v>40</v>
      </c>
      <c r="C68" s="15"/>
      <c r="D68" s="15"/>
      <c r="E68" s="15">
        <f t="shared" si="2"/>
        <v>0</v>
      </c>
      <c r="F68" s="15"/>
      <c r="G68" s="15"/>
      <c r="H68" s="15">
        <f t="shared" si="3"/>
        <v>0</v>
      </c>
    </row>
    <row r="69" spans="1:8" x14ac:dyDescent="0.2">
      <c r="A69" s="50" t="s">
        <v>75</v>
      </c>
      <c r="B69" s="7"/>
      <c r="C69" s="15">
        <f>SUM(C70:C76)</f>
        <v>0</v>
      </c>
      <c r="D69" s="15">
        <f>SUM(D70:D76)</f>
        <v>0</v>
      </c>
      <c r="E69" s="15">
        <f t="shared" si="2"/>
        <v>0</v>
      </c>
      <c r="F69" s="15">
        <f t="shared" ref="F69:G69" si="15">SUM(F70:F76)</f>
        <v>0</v>
      </c>
      <c r="G69" s="15">
        <f t="shared" si="15"/>
        <v>0</v>
      </c>
      <c r="H69" s="15">
        <f t="shared" si="3"/>
        <v>0</v>
      </c>
    </row>
    <row r="70" spans="1:8" x14ac:dyDescent="0.2">
      <c r="A70" s="5"/>
      <c r="B70" s="11" t="s">
        <v>124</v>
      </c>
      <c r="C70" s="15"/>
      <c r="D70" s="15"/>
      <c r="E70" s="15">
        <f t="shared" ref="E70:E76" si="16">+C70+D70</f>
        <v>0</v>
      </c>
      <c r="F70" s="15"/>
      <c r="G70" s="15"/>
      <c r="H70" s="15">
        <f t="shared" ref="H70:H76" si="17">+E70-F70</f>
        <v>0</v>
      </c>
    </row>
    <row r="71" spans="1:8" x14ac:dyDescent="0.2">
      <c r="A71" s="5"/>
      <c r="B71" s="11" t="s">
        <v>125</v>
      </c>
      <c r="C71" s="15"/>
      <c r="D71" s="15"/>
      <c r="E71" s="15">
        <f t="shared" si="16"/>
        <v>0</v>
      </c>
      <c r="F71" s="15"/>
      <c r="G71" s="15"/>
      <c r="H71" s="15">
        <f t="shared" si="17"/>
        <v>0</v>
      </c>
    </row>
    <row r="72" spans="1:8" x14ac:dyDescent="0.2">
      <c r="A72" s="5"/>
      <c r="B72" s="11" t="s">
        <v>126</v>
      </c>
      <c r="C72" s="15"/>
      <c r="D72" s="15"/>
      <c r="E72" s="15">
        <f t="shared" si="16"/>
        <v>0</v>
      </c>
      <c r="F72" s="15"/>
      <c r="G72" s="15"/>
      <c r="H72" s="15">
        <f t="shared" si="17"/>
        <v>0</v>
      </c>
    </row>
    <row r="73" spans="1:8" x14ac:dyDescent="0.2">
      <c r="A73" s="5"/>
      <c r="B73" s="11" t="s">
        <v>127</v>
      </c>
      <c r="C73" s="15"/>
      <c r="D73" s="15"/>
      <c r="E73" s="15">
        <f t="shared" si="16"/>
        <v>0</v>
      </c>
      <c r="F73" s="15"/>
      <c r="G73" s="15"/>
      <c r="H73" s="15">
        <f t="shared" si="17"/>
        <v>0</v>
      </c>
    </row>
    <row r="74" spans="1:8" x14ac:dyDescent="0.2">
      <c r="A74" s="5"/>
      <c r="B74" s="11" t="s">
        <v>128</v>
      </c>
      <c r="C74" s="15"/>
      <c r="D74" s="15"/>
      <c r="E74" s="15">
        <f t="shared" si="16"/>
        <v>0</v>
      </c>
      <c r="F74" s="15"/>
      <c r="G74" s="15"/>
      <c r="H74" s="15">
        <f t="shared" si="17"/>
        <v>0</v>
      </c>
    </row>
    <row r="75" spans="1:8" x14ac:dyDescent="0.2">
      <c r="A75" s="5"/>
      <c r="B75" s="11" t="s">
        <v>129</v>
      </c>
      <c r="C75" s="15"/>
      <c r="D75" s="15"/>
      <c r="E75" s="15">
        <f t="shared" si="16"/>
        <v>0</v>
      </c>
      <c r="F75" s="15"/>
      <c r="G75" s="15"/>
      <c r="H75" s="15">
        <f t="shared" si="17"/>
        <v>0</v>
      </c>
    </row>
    <row r="76" spans="1:8" x14ac:dyDescent="0.2">
      <c r="A76" s="6"/>
      <c r="B76" s="12" t="s">
        <v>130</v>
      </c>
      <c r="C76" s="16"/>
      <c r="D76" s="16"/>
      <c r="E76" s="16">
        <f t="shared" si="16"/>
        <v>0</v>
      </c>
      <c r="F76" s="16"/>
      <c r="G76" s="16"/>
      <c r="H76" s="16">
        <f t="shared" si="17"/>
        <v>0</v>
      </c>
    </row>
    <row r="77" spans="1:8" x14ac:dyDescent="0.2">
      <c r="A77" s="8"/>
      <c r="B77" s="13" t="s">
        <v>59</v>
      </c>
      <c r="C77" s="17">
        <f>+C5+C13+C23+C33+C43+C53+C57+C65+C69</f>
        <v>33530011.240000002</v>
      </c>
      <c r="D77" s="17">
        <f t="shared" ref="D77:G77" si="18">+D5+D13+D23+D33+D43+D53+D57+D65+D69</f>
        <v>74405509.289999992</v>
      </c>
      <c r="E77" s="17">
        <f t="shared" si="18"/>
        <v>107935520.53</v>
      </c>
      <c r="F77" s="17">
        <f t="shared" si="18"/>
        <v>40877968.460000008</v>
      </c>
      <c r="G77" s="17">
        <f t="shared" si="18"/>
        <v>40340495.95000001</v>
      </c>
      <c r="H77" s="17">
        <f>+E77-F77</f>
        <v>67057552.069999993</v>
      </c>
    </row>
    <row r="78" spans="1:8" x14ac:dyDescent="0.2">
      <c r="G78" s="51"/>
      <c r="H78" s="51"/>
    </row>
    <row r="79" spans="1:8" x14ac:dyDescent="0.2">
      <c r="C79" s="51"/>
    </row>
    <row r="80" spans="1:8" x14ac:dyDescent="0.2">
      <c r="C80" s="51"/>
      <c r="D80" s="51"/>
      <c r="E80" s="51"/>
      <c r="F80" s="51"/>
      <c r="G80" s="51"/>
    </row>
    <row r="81" spans="6:7" x14ac:dyDescent="0.2">
      <c r="F81" s="51"/>
      <c r="G81" s="51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>
      <selection activeCell="D16" sqref="D1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138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22">
        <v>32898085.810000002</v>
      </c>
      <c r="D6" s="22">
        <f>7697963+1493128.29</f>
        <v>9191091.2899999991</v>
      </c>
      <c r="E6" s="22">
        <f>+C6+D6</f>
        <v>42089177.100000001</v>
      </c>
      <c r="F6" s="22">
        <v>36548274.190000005</v>
      </c>
      <c r="G6" s="22">
        <v>36010801.680000007</v>
      </c>
      <c r="H6" s="22">
        <f>+E6-F6</f>
        <v>5540902.9099999964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22">
        <v>631925.43000000005</v>
      </c>
      <c r="D8" s="22">
        <f>148268+65066150</f>
        <v>65214418</v>
      </c>
      <c r="E8" s="22">
        <f>+C8+D8</f>
        <v>65846343.43</v>
      </c>
      <c r="F8" s="22">
        <v>4329694.2700000005</v>
      </c>
      <c r="G8" s="22">
        <v>4329694.2700000005</v>
      </c>
      <c r="H8" s="22">
        <f>+E8-F8</f>
        <v>61516649.159999996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/>
      <c r="D10" s="22"/>
      <c r="E10" s="22"/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/>
      <c r="D14" s="22"/>
      <c r="E14" s="22"/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59</v>
      </c>
      <c r="C16" s="17">
        <f>SUM(C5:C15)</f>
        <v>33530011.240000002</v>
      </c>
      <c r="D16" s="17">
        <f t="shared" ref="D16:H16" si="0">SUM(D5:D15)</f>
        <v>74405509.289999992</v>
      </c>
      <c r="E16" s="17">
        <f t="shared" si="0"/>
        <v>107935520.53</v>
      </c>
      <c r="F16" s="17">
        <f t="shared" si="0"/>
        <v>40877968.460000008</v>
      </c>
      <c r="G16" s="17">
        <f t="shared" si="0"/>
        <v>40340495.95000001</v>
      </c>
      <c r="H16" s="17">
        <f t="shared" si="0"/>
        <v>67057552.069999993</v>
      </c>
    </row>
    <row r="18" spans="3:7" x14ac:dyDescent="0.2">
      <c r="F18" s="51"/>
      <c r="G18" s="51"/>
    </row>
    <row r="19" spans="3:7" x14ac:dyDescent="0.2">
      <c r="C19" s="51"/>
      <c r="F19" s="51"/>
      <c r="G19" s="51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workbookViewId="0">
      <selection activeCell="D7" sqref="D7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139</v>
      </c>
      <c r="B1" s="53"/>
      <c r="C1" s="53"/>
      <c r="D1" s="53"/>
      <c r="E1" s="53"/>
      <c r="F1" s="53"/>
      <c r="G1" s="53"/>
      <c r="H1" s="54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7" t="s">
        <v>60</v>
      </c>
      <c r="B3" s="58"/>
      <c r="C3" s="52" t="s">
        <v>66</v>
      </c>
      <c r="D3" s="53"/>
      <c r="E3" s="53"/>
      <c r="F3" s="53"/>
      <c r="G3" s="54"/>
      <c r="H3" s="55" t="s">
        <v>65</v>
      </c>
    </row>
    <row r="4" spans="1:8" ht="24.95" customHeight="1" x14ac:dyDescent="0.2">
      <c r="A4" s="59"/>
      <c r="B4" s="60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135</v>
      </c>
      <c r="B7" s="24"/>
      <c r="C7" s="15">
        <v>30160876.280000001</v>
      </c>
      <c r="D7" s="15">
        <v>74405509.289999992</v>
      </c>
      <c r="E7" s="15">
        <f>+C7+D7</f>
        <v>104566385.56999999</v>
      </c>
      <c r="F7" s="15">
        <v>38765116.990000002</v>
      </c>
      <c r="G7" s="15">
        <v>38227644.480000004</v>
      </c>
      <c r="H7" s="15">
        <f>+E7-F7</f>
        <v>65801268.579999991</v>
      </c>
    </row>
    <row r="8" spans="1:8" x14ac:dyDescent="0.2">
      <c r="A8" s="4" t="s">
        <v>136</v>
      </c>
      <c r="B8" s="24"/>
      <c r="C8" s="15">
        <v>3369134.96</v>
      </c>
      <c r="D8" s="15"/>
      <c r="E8" s="15">
        <f>+C8+D8</f>
        <v>3369134.96</v>
      </c>
      <c r="F8" s="15">
        <v>2112851.4700000002</v>
      </c>
      <c r="G8" s="15">
        <v>2112851.4700000002</v>
      </c>
      <c r="H8" s="15">
        <f>+E8-F8</f>
        <v>1256283.4899999998</v>
      </c>
    </row>
    <row r="9" spans="1:8" x14ac:dyDescent="0.2">
      <c r="A9" s="4" t="s">
        <v>53</v>
      </c>
      <c r="B9" s="24"/>
      <c r="C9" s="15"/>
      <c r="D9" s="15"/>
      <c r="E9" s="15"/>
      <c r="F9" s="15"/>
      <c r="G9" s="15"/>
      <c r="H9" s="15"/>
    </row>
    <row r="10" spans="1:8" x14ac:dyDescent="0.2">
      <c r="A10" s="4" t="s">
        <v>54</v>
      </c>
      <c r="B10" s="24"/>
      <c r="C10" s="15"/>
      <c r="D10" s="15"/>
      <c r="E10" s="15"/>
      <c r="F10" s="15"/>
      <c r="G10" s="15"/>
      <c r="H10" s="15"/>
    </row>
    <row r="11" spans="1:8" x14ac:dyDescent="0.2">
      <c r="A11" s="4" t="s">
        <v>55</v>
      </c>
      <c r="B11" s="24"/>
      <c r="C11" s="15"/>
      <c r="D11" s="15"/>
      <c r="E11" s="15"/>
      <c r="F11" s="15"/>
      <c r="G11" s="15"/>
      <c r="H11" s="15"/>
    </row>
    <row r="12" spans="1:8" x14ac:dyDescent="0.2">
      <c r="A12" s="4" t="s">
        <v>56</v>
      </c>
      <c r="B12" s="24"/>
      <c r="C12" s="15"/>
      <c r="D12" s="15"/>
      <c r="E12" s="15"/>
      <c r="F12" s="15"/>
      <c r="G12" s="15"/>
      <c r="H12" s="15"/>
    </row>
    <row r="13" spans="1:8" x14ac:dyDescent="0.2">
      <c r="A13" s="4" t="s">
        <v>57</v>
      </c>
      <c r="B13" s="24"/>
      <c r="C13" s="15"/>
      <c r="D13" s="15"/>
      <c r="E13" s="15"/>
      <c r="F13" s="15"/>
      <c r="G13" s="15"/>
      <c r="H13" s="15"/>
    </row>
    <row r="14" spans="1:8" x14ac:dyDescent="0.2">
      <c r="A14" s="4" t="s">
        <v>58</v>
      </c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59</v>
      </c>
      <c r="C16" s="25">
        <f>SUM(C6:C15)</f>
        <v>33530011.240000002</v>
      </c>
      <c r="D16" s="25">
        <f t="shared" ref="D16:H16" si="0">SUM(D6:D15)</f>
        <v>74405509.289999992</v>
      </c>
      <c r="E16" s="25">
        <f t="shared" si="0"/>
        <v>107935520.52999999</v>
      </c>
      <c r="F16" s="25">
        <f t="shared" si="0"/>
        <v>40877968.460000001</v>
      </c>
      <c r="G16" s="25">
        <f t="shared" si="0"/>
        <v>40340495.950000003</v>
      </c>
      <c r="H16" s="25">
        <f t="shared" si="0"/>
        <v>67057552.069999993</v>
      </c>
    </row>
    <row r="19" spans="1:8" ht="45" customHeight="1" x14ac:dyDescent="0.2">
      <c r="A19" s="52" t="s">
        <v>139</v>
      </c>
      <c r="B19" s="53"/>
      <c r="C19" s="53"/>
      <c r="D19" s="53"/>
      <c r="E19" s="53"/>
      <c r="F19" s="53"/>
      <c r="G19" s="53"/>
      <c r="H19" s="54"/>
    </row>
    <row r="21" spans="1:8" x14ac:dyDescent="0.2">
      <c r="A21" s="57" t="s">
        <v>60</v>
      </c>
      <c r="B21" s="58"/>
      <c r="C21" s="52" t="s">
        <v>66</v>
      </c>
      <c r="D21" s="53"/>
      <c r="E21" s="53"/>
      <c r="F21" s="53"/>
      <c r="G21" s="54"/>
      <c r="H21" s="55" t="s">
        <v>65</v>
      </c>
    </row>
    <row r="22" spans="1:8" ht="22.5" x14ac:dyDescent="0.2">
      <c r="A22" s="59"/>
      <c r="B22" s="60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56"/>
    </row>
    <row r="23" spans="1:8" x14ac:dyDescent="0.2">
      <c r="A23" s="61"/>
      <c r="B23" s="62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9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10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 t="s">
        <v>11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59</v>
      </c>
      <c r="C30" s="25"/>
      <c r="D30" s="25"/>
      <c r="E30" s="25"/>
      <c r="F30" s="25"/>
      <c r="G30" s="25"/>
      <c r="H30" s="25"/>
    </row>
    <row r="33" spans="1:8" ht="45" customHeight="1" x14ac:dyDescent="0.2">
      <c r="A33" s="52" t="s">
        <v>139</v>
      </c>
      <c r="B33" s="53"/>
      <c r="C33" s="53"/>
      <c r="D33" s="53"/>
      <c r="E33" s="53"/>
      <c r="F33" s="53"/>
      <c r="G33" s="53"/>
      <c r="H33" s="54"/>
    </row>
    <row r="34" spans="1:8" x14ac:dyDescent="0.2">
      <c r="A34" s="57" t="s">
        <v>60</v>
      </c>
      <c r="B34" s="58"/>
      <c r="C34" s="52" t="s">
        <v>66</v>
      </c>
      <c r="D34" s="53"/>
      <c r="E34" s="53"/>
      <c r="F34" s="53"/>
      <c r="G34" s="54"/>
      <c r="H34" s="55" t="s">
        <v>65</v>
      </c>
    </row>
    <row r="35" spans="1:8" ht="22.5" x14ac:dyDescent="0.2">
      <c r="A35" s="59"/>
      <c r="B35" s="60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56"/>
    </row>
    <row r="36" spans="1:8" x14ac:dyDescent="0.2">
      <c r="A36" s="61"/>
      <c r="B36" s="62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2.5" x14ac:dyDescent="0.2">
      <c r="A38" s="4"/>
      <c r="B38" s="33" t="s">
        <v>13</v>
      </c>
      <c r="C38" s="36"/>
      <c r="D38" s="36"/>
      <c r="E38" s="36"/>
      <c r="F38" s="36"/>
      <c r="G38" s="36"/>
      <c r="H38" s="36"/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/>
      <c r="D40" s="36"/>
      <c r="E40" s="36"/>
      <c r="F40" s="36"/>
      <c r="G40" s="36"/>
      <c r="H40" s="36"/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2.5" x14ac:dyDescent="0.2">
      <c r="A42" s="4"/>
      <c r="B42" s="33" t="s">
        <v>14</v>
      </c>
      <c r="C42" s="36"/>
      <c r="D42" s="36"/>
      <c r="E42" s="36"/>
      <c r="F42" s="36"/>
      <c r="G42" s="36"/>
      <c r="H42" s="36"/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2.5" x14ac:dyDescent="0.2">
      <c r="A44" s="4"/>
      <c r="B44" s="33" t="s">
        <v>26</v>
      </c>
      <c r="C44" s="36"/>
      <c r="D44" s="36"/>
      <c r="E44" s="36"/>
      <c r="F44" s="36"/>
      <c r="G44" s="36"/>
      <c r="H44" s="36"/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22.5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2.5" x14ac:dyDescent="0.2">
      <c r="A48" s="4"/>
      <c r="B48" s="33" t="s">
        <v>34</v>
      </c>
      <c r="C48" s="36"/>
      <c r="D48" s="36"/>
      <c r="E48" s="36"/>
      <c r="F48" s="36"/>
      <c r="G48" s="36"/>
      <c r="H48" s="36"/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x14ac:dyDescent="0.2">
      <c r="A50" s="4"/>
      <c r="B50" s="33" t="s">
        <v>15</v>
      </c>
      <c r="C50" s="36"/>
      <c r="D50" s="36"/>
      <c r="E50" s="36"/>
      <c r="F50" s="36"/>
      <c r="G50" s="36"/>
      <c r="H50" s="36"/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59</v>
      </c>
      <c r="C52" s="25"/>
      <c r="D52" s="25"/>
      <c r="E52" s="25"/>
      <c r="F52" s="25"/>
      <c r="G52" s="25"/>
      <c r="H52" s="25"/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activeCell="D21" sqref="D2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140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/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/>
      <c r="D16" s="15"/>
      <c r="E16" s="15"/>
      <c r="F16" s="15"/>
      <c r="G16" s="15"/>
      <c r="H16" s="15"/>
    </row>
    <row r="17" spans="1:8" x14ac:dyDescent="0.2">
      <c r="A17" s="40"/>
      <c r="B17" s="44" t="s">
        <v>45</v>
      </c>
      <c r="C17" s="15"/>
      <c r="D17" s="15"/>
      <c r="E17" s="15"/>
      <c r="F17" s="15"/>
      <c r="G17" s="15"/>
      <c r="H17" s="15"/>
    </row>
    <row r="18" spans="1:8" x14ac:dyDescent="0.2">
      <c r="A18" s="40"/>
      <c r="B18" s="44" t="s">
        <v>28</v>
      </c>
      <c r="C18" s="15"/>
      <c r="D18" s="15"/>
      <c r="E18" s="15"/>
      <c r="F18" s="15"/>
      <c r="G18" s="15"/>
      <c r="H18" s="15"/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/>
    </row>
    <row r="20" spans="1:8" x14ac:dyDescent="0.2">
      <c r="A20" s="40"/>
      <c r="B20" s="44" t="s">
        <v>46</v>
      </c>
      <c r="C20" s="15"/>
      <c r="D20" s="15"/>
      <c r="E20" s="15"/>
      <c r="F20" s="15"/>
      <c r="G20" s="15"/>
      <c r="H20" s="15"/>
    </row>
    <row r="21" spans="1:8" x14ac:dyDescent="0.2">
      <c r="A21" s="40"/>
      <c r="B21" s="44" t="s">
        <v>47</v>
      </c>
      <c r="C21" s="15">
        <v>33530011.240000002</v>
      </c>
      <c r="D21" s="15">
        <v>74405509.289999992</v>
      </c>
      <c r="E21" s="15">
        <f>+C21+D21</f>
        <v>107935520.53</v>
      </c>
      <c r="F21" s="15">
        <v>40877968.460000001</v>
      </c>
      <c r="G21" s="15">
        <v>40340495.950000003</v>
      </c>
      <c r="H21" s="15">
        <f>+E21-F21</f>
        <v>67057552.07</v>
      </c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/>
      <c r="D23" s="15"/>
      <c r="E23" s="15"/>
      <c r="F23" s="15"/>
      <c r="G23" s="15"/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59</v>
      </c>
      <c r="C42" s="25">
        <f>+C21</f>
        <v>33530011.240000002</v>
      </c>
      <c r="D42" s="25">
        <f t="shared" ref="D42:H42" si="0">+D21</f>
        <v>74405509.289999992</v>
      </c>
      <c r="E42" s="25">
        <f t="shared" si="0"/>
        <v>107935520.53</v>
      </c>
      <c r="F42" s="25">
        <f t="shared" si="0"/>
        <v>40877968.460000001</v>
      </c>
      <c r="G42" s="25">
        <f t="shared" si="0"/>
        <v>40340495.950000003</v>
      </c>
      <c r="H42" s="25">
        <f t="shared" si="0"/>
        <v>67057552.07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2018-03-08T21:21:25Z</cp:lastPrinted>
  <dcterms:created xsi:type="dcterms:W3CDTF">2014-02-10T03:37:14Z</dcterms:created>
  <dcterms:modified xsi:type="dcterms:W3CDTF">2020-01-22T15:04:55Z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